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<sst xmlns="http://schemas.openxmlformats.org/spreadsheetml/2006/main" count="2238" uniqueCount="299">
  <si>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</si>
  <si>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</si>
  <si>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</si>
  <si>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</si>
  <si>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</si>
  <si>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</si>
  <si>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</si>
  <si>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</si>
  <si>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</si>
  <si>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</si>
  <si>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</si>
  <si>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</si>
  <si>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</si>
  <si>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</si>
  <si>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</si>
  <si>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</si>
  <si>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</si>
  <si>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</si>
  <si>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</si>
  <si>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</si>
  <si>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</si>
  <si>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</si>
  <si>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</si>
  <si>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</si>
  <si>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</si>
  <si>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</si>
  <si>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</si>
  <si>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</si>
  <si>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</si>
  <si>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</si>
  <si>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</si>
  <si>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</si>
  <si>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</si>
  <si>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</si>
  <si>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</si>
  <si>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</si>
  <si>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</si>
  <si>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</si>
  <si>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</si>
  <si>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</si>
  <si>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</si>
  <si>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</si>
  <si>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</si>
  <si>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</si>
  <si>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</si>
  <si>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</si>
  <si>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</si>
  <si>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</si>
  <si>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</si>
  <si>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</si>
  <si>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</si>
  <si>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</si>
  <si>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</si>
  <si>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</si>
  <si>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</si>
  <si>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</si>
  <si>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</si>
  <si>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</si>
  <si>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</si>
  <si>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</si>
  <si>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</si>
  <si>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</si>
  <si>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</si>
  <si>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</si>
  <si>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</si>
  <si>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</si>
  <si>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</si>
  <si>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</si>
  <si>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</si>
  <si>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</si>
  <si>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</si>
  <si>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</si>
  <si>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</si>
  <si>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</si>
  <si>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</si>
  <si>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</si>
  <si>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</si>
  <si>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</si>
  <si>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</si>
  <si>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</si>
  <si>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</si>
  <si>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</si>
  <si>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</si>
  <si>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</si>
  <si>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</si>
  <si>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</si>
  <si>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</si>
  <si>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</si>
  <si>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</si>
  <si>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</si>
  <si>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</si>
  <si>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</si>
  <si>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</si>
  <si>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</si>
  <si>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</si>
  <si>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</si>
  <si>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</si>
  <si>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</si>
  <si>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</si>
  <si>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</si>
  <si>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</si>
  <si>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</si>
  <si>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</si>
  <si>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</si>
  <si>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</si>
  <si>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</si>
  <si>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</si>
  <si>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</si>
  <si>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</si>
  <si>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</si>
  <si>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</si>
  <si>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</si>
  <si>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</si>
  <si>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</si>
  <si>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</si>
  <si>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</si>
  <si>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</si>
  <si>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</si>
  <si>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</si>
  <si>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</si>
  <si>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</si>
  <si>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</si>
  <si>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</si>
  <si>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</si>
  <si>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</si>
  <si>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</si>
  <si>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</si>
  <si>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</si>
  <si>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</si>
  <si>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</si>
  <si>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</si>
  <si>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</si>
  <si>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</si>
  <si>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</si>
  <si>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</si>
  <si>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</si>
  <si>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</si>
  <si>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</si>
  <si>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</si>
  <si>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</si>
  <si>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</si>
  <si>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</si>
  <si>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</si>
  <si>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</si>
  <si>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</si>
  <si>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</si>
  <si>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</si>
  <si>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</si>
  <si>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</si>
  <si>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</si>
  <si>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</si>
  <si>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</si>
  <si>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</si>
  <si>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</si>
  <si>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</si>
  <si>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</si>
  <si>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</si>
  <si>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</si>
  <si>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</si>
  <si>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</si>
  <si>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</si>
  <si>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</si>
  <si>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</si>
  <si>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</si>
  <si>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</si>
  <si>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</si>
  <si>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</si>
  <si>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</si>
  <si>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</si>
  <si>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</si>
  <si>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</si>
  <si>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</si>
  <si>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</si>
  <si>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</si>
  <si>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</si>
  <si>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</si>
  <si>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</si>
  <si>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</si>
  <si>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</si>
  <si>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</si>
  <si>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</si>
  <si>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</si>
  <si>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</si>
  <si>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</si>
  <si>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</si>
  <si>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</si>
  <si>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</si>
  <si>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</si>
  <si>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</si>
  <si>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</si>
  <si>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</si>
  <si>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</si>
  <si>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</si>
  <si>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</si>
  <si>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</si>
  <si>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</si>
  <si>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</si>
  <si>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</si>
  <si>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</si>
  <si>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</si>
  <si>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</si>
  <si>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</si>
  <si>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</si>
  <si>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</si>
  <si>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</si>
  <si>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</si>
  <si>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</si>
  <si>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</si>
  <si>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</si>
  <si>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</si>
  <si>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</si>
  <si>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</si>
  <si>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</si>
  <si>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</si>
  <si>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</si>
  <si>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</si>
  <si>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</si>
  <si>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</si>
  <si>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</si>
  <si>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</si>
  <si>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</si>
  <si>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</si>
  <si>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</si>
  <si>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</si>
  <si>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</si>
  <si>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</si>
  <si>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</si>
  <si>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</si>
  <si>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</si>
  <si>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</si>
  <si>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</si>
  <si>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</si>
  <si>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</si>
  <si>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</si>
  <si>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</si>
  <si>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</si>
  <si>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</si>
  <si>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</si>
  <si>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</si>
  <si>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</si>
  <si>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</si>
  <si>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</si>
  <si>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</si>
  <si>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</si>
  <si>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</si>
  <si>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</si>
  <si>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</si>
  <si>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</si>
  <si>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</si>
  <si>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</si>
  <si>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</si>
  <si>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</si>
  <si>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</si>
  <si>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</si>
  <si>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</si>
  <si>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</si>
  <si>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</si>
  <si>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</si>
  <si>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</si>
  <si>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</si>
  <si>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</si>
  <si>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</si>
  <si>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</si>
  <si>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</si>
  <si>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</si>
  <si>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</si>
  <si>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</si>
  <si>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</si>
  <si>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</si>
  <si>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</si>
  <si>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</si>
  <si>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</si>
  <si>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</si>
  <si>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</si>
  <si>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</si>
  <si>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</si>
  <si>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</si>
  <si>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</si>
  <si>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</si>
  <si>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</si>
  <si>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</si>
  <si>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</si>
  <si>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</si>
  <si>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</si>
  <si>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</si>
  <si>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</si>
  <si>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</si>
  <si>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</si>
  <si>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</si>
  <si>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</si>
  <si>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</si>
  <si>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</si>
  <si>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</si>
  <si>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</si>
  <si>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</si>
  <si>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</si>
  <si>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</si>
  <si>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</si>
  <si>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14.11.14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</si>
</sst>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16994824.98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7" sqref="I14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406350.07</v>
      </c>
      <c r="G8" s="22">
        <f aca="true" t="shared" si="0" ref="G8:G30">F8-E8</f>
        <v>-24907.959999999963</v>
      </c>
      <c r="H8" s="51">
        <f>F8/E8*100</f>
        <v>94.22434870372155</v>
      </c>
      <c r="I8" s="36">
        <f aca="true" t="shared" si="1" ref="I8:I17">F8-D8</f>
        <v>-82126.22999999998</v>
      </c>
      <c r="J8" s="36">
        <f aca="true" t="shared" si="2" ref="J8:J14">F8/D8*100</f>
        <v>83.18726415181249</v>
      </c>
      <c r="K8" s="36">
        <f>F8-421084.1</f>
        <v>-14734.02999999997</v>
      </c>
      <c r="L8" s="136">
        <f>F8/421084.1</f>
        <v>0.9650092938678996</v>
      </c>
      <c r="M8" s="22">
        <f>M10+M19+M33+M56+M68+M30</f>
        <v>40254.39000000002</v>
      </c>
      <c r="N8" s="22">
        <f>N10+N19+N33+N56+N68+N30</f>
        <v>17590.82000000002</v>
      </c>
      <c r="O8" s="36">
        <f aca="true" t="shared" si="3" ref="O8:O71">N8-M8</f>
        <v>-22663.57</v>
      </c>
      <c r="P8" s="36">
        <f>F8/M8*100</f>
        <v>1009.4552917085559</v>
      </c>
      <c r="Q8" s="36">
        <f>N8-39535.7</f>
        <v>-21944.879999999976</v>
      </c>
      <c r="R8" s="134">
        <f>N8/39535.7</f>
        <v>0.44493508398738413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332237.53</v>
      </c>
      <c r="G9" s="22">
        <f t="shared" si="0"/>
        <v>332237.53</v>
      </c>
      <c r="H9" s="20"/>
      <c r="I9" s="56">
        <f t="shared" si="1"/>
        <v>-54775.669999999984</v>
      </c>
      <c r="J9" s="56">
        <f t="shared" si="2"/>
        <v>85.84656285625401</v>
      </c>
      <c r="K9" s="56"/>
      <c r="L9" s="135"/>
      <c r="M9" s="20">
        <f>M10+M17</f>
        <v>32301.900000000023</v>
      </c>
      <c r="N9" s="20">
        <f>N10+N17</f>
        <v>16215.340000000026</v>
      </c>
      <c r="O9" s="36">
        <f t="shared" si="3"/>
        <v>-16086.559999999998</v>
      </c>
      <c r="P9" s="56">
        <f>F9/M9*100</f>
        <v>1028.5386618124624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332237.53</v>
      </c>
      <c r="G10" s="49">
        <f t="shared" si="0"/>
        <v>-19770.469999999972</v>
      </c>
      <c r="H10" s="40">
        <f aca="true" t="shared" si="4" ref="H10:H17">F10/E10*100</f>
        <v>94.38351685188974</v>
      </c>
      <c r="I10" s="56">
        <f t="shared" si="1"/>
        <v>-54775.669999999984</v>
      </c>
      <c r="J10" s="56">
        <f t="shared" si="2"/>
        <v>85.84656285625401</v>
      </c>
      <c r="K10" s="141">
        <f>F10-334336.4</f>
        <v>-2098.8699999999953</v>
      </c>
      <c r="L10" s="142">
        <f>F10/334336.4</f>
        <v>0.9937222809122788</v>
      </c>
      <c r="M10" s="40">
        <f>E10-жовтень!E10</f>
        <v>32301.900000000023</v>
      </c>
      <c r="N10" s="40">
        <f>F10-жовтень!F10</f>
        <v>16215.340000000026</v>
      </c>
      <c r="O10" s="53">
        <f t="shared" si="3"/>
        <v>-16086.559999999998</v>
      </c>
      <c r="P10" s="56">
        <f aca="true" t="shared" si="5" ref="P10:P17">N10/M10*100</f>
        <v>50.19933811942955</v>
      </c>
      <c r="Q10" s="141">
        <f>N10-32243.9</f>
        <v>-16028.559999999976</v>
      </c>
      <c r="R10" s="142">
        <f>N10/32243.9</f>
        <v>0.5028963617924639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-879.09</v>
      </c>
      <c r="G19" s="49">
        <f t="shared" si="0"/>
        <v>-1958.69</v>
      </c>
      <c r="H19" s="40">
        <f aca="true" t="shared" si="6" ref="H19:H29">F19/E19*100</f>
        <v>-81.4273805113005</v>
      </c>
      <c r="I19" s="56">
        <f aca="true" t="shared" si="7" ref="I19:I29">F19-D19</f>
        <v>-1879.0900000000001</v>
      </c>
      <c r="J19" s="56">
        <f aca="true" t="shared" si="8" ref="J19:J29">F19/D19*100</f>
        <v>-87.909</v>
      </c>
      <c r="K19" s="167">
        <f>F19-7207</f>
        <v>-8086.09</v>
      </c>
      <c r="L19" s="168">
        <f>F19/7207</f>
        <v>-0.12197724434577495</v>
      </c>
      <c r="M19" s="40">
        <f>E19-жовтень!E19</f>
        <v>12</v>
      </c>
      <c r="N19" s="40">
        <f>F19-жовтень!F19</f>
        <v>1.7999999999999545</v>
      </c>
      <c r="O19" s="53">
        <f t="shared" si="3"/>
        <v>-10.200000000000045</v>
      </c>
      <c r="P19" s="56">
        <f aca="true" t="shared" si="9" ref="P19:P29">N19/M19*100</f>
        <v>14.999999999999622</v>
      </c>
      <c r="Q19" s="56">
        <f>N19-363.4</f>
        <v>-361.6</v>
      </c>
      <c r="R19" s="135">
        <f>N19/363.4</f>
        <v>0.0049532195927351535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69143.04</v>
      </c>
      <c r="G33" s="49">
        <f aca="true" t="shared" si="14" ref="G33:G72">F33-E33</f>
        <v>-2770.3899999999994</v>
      </c>
      <c r="H33" s="40">
        <f aca="true" t="shared" si="15" ref="H33:H67">F33/E33*100</f>
        <v>96.14760414014462</v>
      </c>
      <c r="I33" s="56">
        <f>F33-D33</f>
        <v>-24422.960000000006</v>
      </c>
      <c r="J33" s="56">
        <f aca="true" t="shared" si="16" ref="J33:J72">F33/D33*100</f>
        <v>73.89761238056558</v>
      </c>
      <c r="K33" s="141">
        <f>F33-73845.7</f>
        <v>-4702.6600000000035</v>
      </c>
      <c r="L33" s="142">
        <f>F33/73845.7</f>
        <v>0.9363177544528659</v>
      </c>
      <c r="M33" s="40">
        <f>E33-жовтень!E33</f>
        <v>7377.5899999999965</v>
      </c>
      <c r="N33" s="40">
        <f>F33-жовтень!F33</f>
        <v>876.1999999999971</v>
      </c>
      <c r="O33" s="53">
        <f t="shared" si="3"/>
        <v>-6501.389999999999</v>
      </c>
      <c r="P33" s="56">
        <f aca="true" t="shared" si="17" ref="P33:P67">N33/M33*100</f>
        <v>11.876507097846282</v>
      </c>
      <c r="Q33" s="141">
        <f>N33-6429.9</f>
        <v>-5553.700000000003</v>
      </c>
      <c r="R33" s="142">
        <f>N33/6429.9</f>
        <v>0.13626961539059662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51545.19</v>
      </c>
      <c r="G55" s="144">
        <f t="shared" si="14"/>
        <v>-1303.3399999999965</v>
      </c>
      <c r="H55" s="146">
        <f t="shared" si="15"/>
        <v>97.53381976755078</v>
      </c>
      <c r="I55" s="145">
        <f t="shared" si="18"/>
        <v>-18720.809999999998</v>
      </c>
      <c r="J55" s="145">
        <f t="shared" si="16"/>
        <v>73.35722824694732</v>
      </c>
      <c r="K55" s="148">
        <f>F55-53912.95</f>
        <v>-2367.7599999999948</v>
      </c>
      <c r="L55" s="149">
        <f>F55/53912.95</f>
        <v>0.9560817948192412</v>
      </c>
      <c r="M55" s="40">
        <f>E55-жовтень!E55</f>
        <v>5442.989999999998</v>
      </c>
      <c r="N55" s="40">
        <f>F55-жовтень!F55</f>
        <v>840.5400000000009</v>
      </c>
      <c r="O55" s="148">
        <f t="shared" si="3"/>
        <v>-4602.449999999997</v>
      </c>
      <c r="P55" s="148">
        <f t="shared" si="17"/>
        <v>15.4426151802594</v>
      </c>
      <c r="Q55" s="160">
        <f>N55-4756.32</f>
        <v>-3915.779999999999</v>
      </c>
      <c r="R55" s="161">
        <f>N55/4756.32</f>
        <v>0.17672065798768816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1.51+5813.88</f>
        <v>5815.39</v>
      </c>
      <c r="G56" s="49">
        <f t="shared" si="14"/>
        <v>-404.5099999999993</v>
      </c>
      <c r="H56" s="40">
        <f t="shared" si="15"/>
        <v>93.49651923664368</v>
      </c>
      <c r="I56" s="56">
        <f t="shared" si="18"/>
        <v>-1044.6099999999997</v>
      </c>
      <c r="J56" s="56">
        <f t="shared" si="16"/>
        <v>84.77244897959184</v>
      </c>
      <c r="K56" s="56">
        <f>F56-6560</f>
        <v>-744.6099999999997</v>
      </c>
      <c r="L56" s="135">
        <f>F56/6560</f>
        <v>0.8864923780487806</v>
      </c>
      <c r="M56" s="40">
        <f>E56-жовтень!E56</f>
        <v>553.3999999999996</v>
      </c>
      <c r="N56" s="40">
        <f>F56-жовтень!F56</f>
        <v>469.4300000000003</v>
      </c>
      <c r="O56" s="53">
        <f t="shared" si="3"/>
        <v>-83.96999999999935</v>
      </c>
      <c r="P56" s="56">
        <f t="shared" si="17"/>
        <v>84.82652692446703</v>
      </c>
      <c r="Q56" s="56">
        <f>N56-486.5</f>
        <v>-17.06999999999971</v>
      </c>
      <c r="R56" s="135">
        <f>N56/486.5</f>
        <v>0.9649126413155196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11800.590000000002</v>
      </c>
      <c r="G74" s="50">
        <f aca="true" t="shared" si="24" ref="G74:G92">F74-E74</f>
        <v>-3476.409999999998</v>
      </c>
      <c r="H74" s="51">
        <f aca="true" t="shared" si="25" ref="H74:H87">F74/E74*100</f>
        <v>77.2441578844014</v>
      </c>
      <c r="I74" s="36">
        <f aca="true" t="shared" si="26" ref="I74:I92">F74-D74</f>
        <v>-6557.709999999997</v>
      </c>
      <c r="J74" s="36">
        <f aca="true" t="shared" si="27" ref="J74:J92">F74/D74*100</f>
        <v>64.27931780175726</v>
      </c>
      <c r="K74" s="36">
        <f>F74-17827.8</f>
        <v>-6027.209999999997</v>
      </c>
      <c r="L74" s="136">
        <f>F74/17827.8</f>
        <v>0.6619207081075625</v>
      </c>
      <c r="M74" s="22">
        <f>M77+M86+M88+M89+M94+M95+M96+M97+M99+M87+M104</f>
        <v>1580.5</v>
      </c>
      <c r="N74" s="22">
        <f>N77+N86+N88+N89+N94+N95+N96+N97+N99+N32+N104+N87+N103</f>
        <v>1011.6800000000005</v>
      </c>
      <c r="O74" s="55">
        <f aca="true" t="shared" si="28" ref="O74:O92">N74-M74</f>
        <v>-568.8199999999995</v>
      </c>
      <c r="P74" s="36">
        <f>N74/M74*100</f>
        <v>64.01012337867766</v>
      </c>
      <c r="Q74" s="36">
        <f>N74-1502.5</f>
        <v>-490.8199999999995</v>
      </c>
      <c r="R74" s="136">
        <f>N74/1502.5</f>
        <v>0.6733311148086526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145.27</v>
      </c>
      <c r="G77" s="49">
        <f t="shared" si="24"/>
        <v>-14.72999999999999</v>
      </c>
      <c r="H77" s="40">
        <f t="shared" si="25"/>
        <v>90.79375</v>
      </c>
      <c r="I77" s="56">
        <f t="shared" si="26"/>
        <v>-354.73</v>
      </c>
      <c r="J77" s="56">
        <f t="shared" si="27"/>
        <v>29.054000000000002</v>
      </c>
      <c r="K77" s="167">
        <f>F77-1728.8</f>
        <v>-1583.53</v>
      </c>
      <c r="L77" s="168">
        <f>F77/1728.8</f>
        <v>0.08402938454419251</v>
      </c>
      <c r="M77" s="40">
        <f>E77-жовтень!E77</f>
        <v>50</v>
      </c>
      <c r="N77" s="40">
        <f>F77-жовтень!F77</f>
        <v>21.820000000000007</v>
      </c>
      <c r="O77" s="53">
        <f t="shared" si="28"/>
        <v>-28.179999999999993</v>
      </c>
      <c r="P77" s="56">
        <f aca="true" t="shared" si="29" ref="P77:P87">N77/M77*100</f>
        <v>43.640000000000015</v>
      </c>
      <c r="Q77" s="56">
        <f>N77-11.1</f>
        <v>10.720000000000008</v>
      </c>
      <c r="R77" s="135">
        <f>N77/11.1</f>
        <v>1.9657657657657666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120.1</v>
      </c>
      <c r="G89" s="49">
        <f t="shared" si="24"/>
        <v>-38.900000000000006</v>
      </c>
      <c r="H89" s="40">
        <f>F89/E89*100</f>
        <v>75.53459119496854</v>
      </c>
      <c r="I89" s="56">
        <f t="shared" si="26"/>
        <v>-54.900000000000006</v>
      </c>
      <c r="J89" s="56">
        <f t="shared" si="27"/>
        <v>68.62857142857143</v>
      </c>
      <c r="K89" s="56">
        <f>F89-147.9</f>
        <v>-27.80000000000001</v>
      </c>
      <c r="L89" s="135">
        <f>F89/147.9</f>
        <v>0.8120351588911426</v>
      </c>
      <c r="M89" s="40">
        <f>E89-жовтень!E89</f>
        <v>15</v>
      </c>
      <c r="N89" s="40">
        <f>F89-жовтень!F89</f>
        <v>7.6499999999999915</v>
      </c>
      <c r="O89" s="53">
        <f t="shared" si="28"/>
        <v>-7.3500000000000085</v>
      </c>
      <c r="P89" s="56">
        <f>N89/M89*100</f>
        <v>50.99999999999994</v>
      </c>
      <c r="Q89" s="56">
        <f>N89-10.4</f>
        <v>-2.750000000000009</v>
      </c>
      <c r="R89" s="135">
        <f>N89/10.4</f>
        <v>0.7355769230769222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922.85</v>
      </c>
      <c r="G96" s="49">
        <f t="shared" si="31"/>
        <v>-91.64999999999998</v>
      </c>
      <c r="H96" s="40">
        <f>F96/E96*100</f>
        <v>90.96599310004929</v>
      </c>
      <c r="I96" s="56">
        <f t="shared" si="32"/>
        <v>-277.15</v>
      </c>
      <c r="J96" s="56">
        <f>F96/D96*100</f>
        <v>76.90416666666667</v>
      </c>
      <c r="K96" s="56">
        <f>F96-1013.8</f>
        <v>-90.94999999999993</v>
      </c>
      <c r="L96" s="135">
        <f>F96/1013.8</f>
        <v>0.910288025251529</v>
      </c>
      <c r="M96" s="40">
        <f>E96-жовтень!E96</f>
        <v>110</v>
      </c>
      <c r="N96" s="40">
        <f>F96-жовтень!F96</f>
        <v>57.680000000000064</v>
      </c>
      <c r="O96" s="53">
        <f t="shared" si="33"/>
        <v>-52.319999999999936</v>
      </c>
      <c r="P96" s="56">
        <f>N96/M96*100</f>
        <v>52.436363636363694</v>
      </c>
      <c r="Q96" s="56">
        <f>N96-83.7</f>
        <v>-26.01999999999994</v>
      </c>
      <c r="R96" s="135">
        <f>N96/83.7</f>
        <v>0.689127837514935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3732.11</v>
      </c>
      <c r="G99" s="49">
        <f t="shared" si="31"/>
        <v>65.11000000000013</v>
      </c>
      <c r="H99" s="40">
        <f>F99/E99*100</f>
        <v>101.77556585764931</v>
      </c>
      <c r="I99" s="56">
        <f t="shared" si="32"/>
        <v>-840.5899999999997</v>
      </c>
      <c r="J99" s="56">
        <f>F99/D99*100</f>
        <v>81.61720646445208</v>
      </c>
      <c r="K99" s="56">
        <f>F99-4178.8</f>
        <v>-446.69000000000005</v>
      </c>
      <c r="L99" s="135">
        <f>F99/4178.8</f>
        <v>0.8931056762706997</v>
      </c>
      <c r="M99" s="40">
        <f>E99-жовтень!E99</f>
        <v>330</v>
      </c>
      <c r="N99" s="40">
        <f>F99-жовтень!F99</f>
        <v>285.1700000000001</v>
      </c>
      <c r="O99" s="53">
        <f t="shared" si="33"/>
        <v>-44.82999999999993</v>
      </c>
      <c r="P99" s="56">
        <f>N99/M99*100</f>
        <v>86.41515151515154</v>
      </c>
      <c r="Q99" s="56">
        <f>N99-332.8</f>
        <v>-47.62999999999994</v>
      </c>
      <c r="R99" s="135">
        <f>N99/332.8</f>
        <v>0.8568810096153848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903.9</v>
      </c>
      <c r="G102" s="144"/>
      <c r="H102" s="146"/>
      <c r="I102" s="145"/>
      <c r="J102" s="145"/>
      <c r="K102" s="148">
        <f>F102-738.2</f>
        <v>165.69999999999993</v>
      </c>
      <c r="L102" s="149">
        <f>F102/738.2</f>
        <v>1.2244649146572744</v>
      </c>
      <c r="M102" s="40">
        <f>E102-жовтень!E102</f>
        <v>0</v>
      </c>
      <c r="N102" s="40">
        <f>F102-жовтень!F102</f>
        <v>64.60000000000002</v>
      </c>
      <c r="O102" s="53"/>
      <c r="P102" s="60"/>
      <c r="Q102" s="60">
        <f>N102-89.7</f>
        <v>-25.09999999999998</v>
      </c>
      <c r="R102" s="138">
        <f>N102/89.7</f>
        <v>0.7201783723522857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418172.99000000005</v>
      </c>
      <c r="G107" s="175">
        <f>F107-E107</f>
        <v>-28392.239999999932</v>
      </c>
      <c r="H107" s="51">
        <f>F107/E107*100</f>
        <v>93.64208449457654</v>
      </c>
      <c r="I107" s="36">
        <f t="shared" si="34"/>
        <v>-88706.60999999993</v>
      </c>
      <c r="J107" s="36">
        <f t="shared" si="36"/>
        <v>82.4994712748353</v>
      </c>
      <c r="K107" s="36">
        <f>F107-438950.2</f>
        <v>-20777.209999999963</v>
      </c>
      <c r="L107" s="136">
        <f>F107/438950.2</f>
        <v>0.9526661338803355</v>
      </c>
      <c r="M107" s="22">
        <f>M8+M74+M105+M106</f>
        <v>41837.89000000002</v>
      </c>
      <c r="N107" s="22">
        <f>N8+N74+N105+N106</f>
        <v>18602.750000000022</v>
      </c>
      <c r="O107" s="55">
        <f t="shared" si="35"/>
        <v>-23235.14</v>
      </c>
      <c r="P107" s="36">
        <f>N107/M107*100</f>
        <v>44.46388190226613</v>
      </c>
      <c r="Q107" s="36">
        <f>N107-41056.6</f>
        <v>-22453.849999999977</v>
      </c>
      <c r="R107" s="136">
        <f>N107/41056.6</f>
        <v>0.4531001105790548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333160.38</v>
      </c>
      <c r="G108" s="153">
        <f>G10-G18+G96</f>
        <v>-19862.119999999974</v>
      </c>
      <c r="H108" s="72">
        <f>F108/E108*100</f>
        <v>94.37369572760943</v>
      </c>
      <c r="I108" s="52">
        <f t="shared" si="34"/>
        <v>-55052.82000000001</v>
      </c>
      <c r="J108" s="52">
        <f t="shared" si="36"/>
        <v>85.81892114951269</v>
      </c>
      <c r="K108" s="52">
        <f>F108-335439.2</f>
        <v>-2278.820000000007</v>
      </c>
      <c r="L108" s="137">
        <f>F108/335439.2</f>
        <v>0.9932064588754087</v>
      </c>
      <c r="M108" s="71">
        <f>M10-M18+M96</f>
        <v>32411.900000000023</v>
      </c>
      <c r="N108" s="71">
        <f>N10-N18+N96</f>
        <v>16273.020000000026</v>
      </c>
      <c r="O108" s="53">
        <f t="shared" si="35"/>
        <v>-16138.879999999997</v>
      </c>
      <c r="P108" s="52">
        <f>N108/M108*100</f>
        <v>50.20693017070895</v>
      </c>
      <c r="Q108" s="52">
        <f>N108-32327.7</f>
        <v>-16054.679999999975</v>
      </c>
      <c r="R108" s="137">
        <f>N108/32327.7</f>
        <v>0.5033769801130308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85012.61000000004</v>
      </c>
      <c r="G109" s="176">
        <f>F109-E109</f>
        <v>-8530.119999999937</v>
      </c>
      <c r="H109" s="72">
        <f>F109/E109*100</f>
        <v>90.88104441681364</v>
      </c>
      <c r="I109" s="52">
        <f t="shared" si="34"/>
        <v>-33653.78999999992</v>
      </c>
      <c r="J109" s="52">
        <f t="shared" si="36"/>
        <v>71.64000087640652</v>
      </c>
      <c r="K109" s="52">
        <f>F109-103511.1</f>
        <v>-18498.48999999996</v>
      </c>
      <c r="L109" s="137">
        <f>F109/103511.1</f>
        <v>0.8212897940414123</v>
      </c>
      <c r="M109" s="71">
        <f>M107-M108</f>
        <v>9425.989999999998</v>
      </c>
      <c r="N109" s="71">
        <f>N107-N108</f>
        <v>2329.729999999996</v>
      </c>
      <c r="O109" s="53">
        <f t="shared" si="35"/>
        <v>-7096.260000000002</v>
      </c>
      <c r="P109" s="52">
        <f>N109/M109*100</f>
        <v>24.716024523683945</v>
      </c>
      <c r="Q109" s="52">
        <f>N109-8729</f>
        <v>-6399.270000000004</v>
      </c>
      <c r="R109" s="137">
        <f>N109/8729</f>
        <v>0.26689540611753876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333160.38</v>
      </c>
      <c r="G110" s="111">
        <f>F110-E110</f>
        <v>-15522.219999999972</v>
      </c>
      <c r="H110" s="72">
        <f>F110/E110*100</f>
        <v>95.5483238911262</v>
      </c>
      <c r="I110" s="81">
        <f t="shared" si="34"/>
        <v>-55052.82000000001</v>
      </c>
      <c r="J110" s="52">
        <f t="shared" si="36"/>
        <v>85.81892114951269</v>
      </c>
      <c r="K110" s="52"/>
      <c r="L110" s="137"/>
      <c r="M110" s="72">
        <f>E110-жовтень!E110</f>
        <v>33441.899999999965</v>
      </c>
      <c r="N110" s="71">
        <f>N108</f>
        <v>16273.020000000026</v>
      </c>
      <c r="O110" s="63">
        <f t="shared" si="35"/>
        <v>-17168.87999999994</v>
      </c>
      <c r="P110" s="52">
        <f>N110/M110*100</f>
        <v>48.66057251531774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1391.16</v>
      </c>
      <c r="G115" s="49">
        <f t="shared" si="37"/>
        <v>-1943.24</v>
      </c>
      <c r="H115" s="40">
        <f aca="true" t="shared" si="39" ref="H115:H126">F115/E115*100</f>
        <v>41.7214491362764</v>
      </c>
      <c r="I115" s="60">
        <f t="shared" si="38"/>
        <v>-2280.34</v>
      </c>
      <c r="J115" s="60">
        <f aca="true" t="shared" si="40" ref="J115:J121">F115/D115*100</f>
        <v>37.89078033501294</v>
      </c>
      <c r="K115" s="60">
        <f>F115-3211.4</f>
        <v>-1820.24</v>
      </c>
      <c r="L115" s="138">
        <f>F115/3211.4</f>
        <v>0.4331942455004048</v>
      </c>
      <c r="M115" s="40">
        <f>E115-жовтень!E115</f>
        <v>327.4000000000001</v>
      </c>
      <c r="N115" s="40">
        <f>F115-жовтень!F115</f>
        <v>72.61000000000013</v>
      </c>
      <c r="O115" s="53">
        <f aca="true" t="shared" si="41" ref="O115:O126">N115-M115</f>
        <v>-254.78999999999996</v>
      </c>
      <c r="P115" s="60">
        <f>N115/M115*100</f>
        <v>22.177764202810053</v>
      </c>
      <c r="Q115" s="60">
        <f>N115-83.3</f>
        <v>-10.68999999999987</v>
      </c>
      <c r="R115" s="138">
        <f>N115/83.3</f>
        <v>0.8716686674669883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1675.93</v>
      </c>
      <c r="G117" s="62">
        <f t="shared" si="37"/>
        <v>-1902.97</v>
      </c>
      <c r="H117" s="72">
        <f t="shared" si="39"/>
        <v>46.82807566570734</v>
      </c>
      <c r="I117" s="61">
        <f t="shared" si="38"/>
        <v>-2263.67</v>
      </c>
      <c r="J117" s="61">
        <f t="shared" si="40"/>
        <v>42.54061326022946</v>
      </c>
      <c r="K117" s="61">
        <f>F117-3477.6</f>
        <v>-1801.6699999999998</v>
      </c>
      <c r="L117" s="139">
        <f>F117/3477.6</f>
        <v>0.48192144007361404</v>
      </c>
      <c r="M117" s="62">
        <f>M115+M116+M114</f>
        <v>349.4000000000001</v>
      </c>
      <c r="N117" s="38">
        <f>SUM(N114:N116)</f>
        <v>94.17000000000013</v>
      </c>
      <c r="O117" s="61">
        <f t="shared" si="41"/>
        <v>-255.22999999999996</v>
      </c>
      <c r="P117" s="61">
        <f>N117/M117*100</f>
        <v>26.951917572982286</v>
      </c>
      <c r="Q117" s="61">
        <f>N117-106.6</f>
        <v>-12.429999999999865</v>
      </c>
      <c r="R117" s="139">
        <f>N117/106.6</f>
        <v>0.883395872420264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440.77</v>
      </c>
      <c r="G119" s="49">
        <f t="shared" si="37"/>
        <v>180.26999999999998</v>
      </c>
      <c r="H119" s="40">
        <f t="shared" si="39"/>
        <v>169.20153550863722</v>
      </c>
      <c r="I119" s="60">
        <f t="shared" si="38"/>
        <v>173.57</v>
      </c>
      <c r="J119" s="60">
        <f t="shared" si="40"/>
        <v>164.95883233532933</v>
      </c>
      <c r="K119" s="60">
        <f>F119-237.7</f>
        <v>203.07</v>
      </c>
      <c r="L119" s="138">
        <f>F119/237.7</f>
        <v>1.854312158182583</v>
      </c>
      <c r="M119" s="40">
        <f>E119-жовтень!E119</f>
        <v>0</v>
      </c>
      <c r="N119" s="40">
        <f>F119-жовтень!F119</f>
        <v>3.769999999999982</v>
      </c>
      <c r="O119" s="53">
        <f>N119-M119</f>
        <v>3.769999999999982</v>
      </c>
      <c r="P119" s="60" t="e">
        <f>N119/M119*100</f>
        <v>#DIV/0!</v>
      </c>
      <c r="Q119" s="60">
        <f>N119-3.5</f>
        <v>0.2699999999999818</v>
      </c>
      <c r="R119" s="138">
        <f>N119/3.5</f>
        <v>1.0771428571428519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74789.79</v>
      </c>
      <c r="G120" s="49">
        <f t="shared" si="37"/>
        <v>6077.189999999988</v>
      </c>
      <c r="H120" s="40">
        <f t="shared" si="39"/>
        <v>108.84436042297918</v>
      </c>
      <c r="I120" s="53">
        <f t="shared" si="38"/>
        <v>2813.7999999999884</v>
      </c>
      <c r="J120" s="60">
        <f t="shared" si="40"/>
        <v>103.90935921826153</v>
      </c>
      <c r="K120" s="60">
        <f>F120-66794.9</f>
        <v>7994.889999999999</v>
      </c>
      <c r="L120" s="138">
        <f>F120/66794.9</f>
        <v>1.1196931202831355</v>
      </c>
      <c r="M120" s="40">
        <f>E120-жовтень!E120</f>
        <v>8700.000000000007</v>
      </c>
      <c r="N120" s="40">
        <f>F120-жовтень!F120</f>
        <v>6932.509999999995</v>
      </c>
      <c r="O120" s="53">
        <f t="shared" si="41"/>
        <v>-1767.4900000000125</v>
      </c>
      <c r="P120" s="60">
        <f aca="true" t="shared" si="42" ref="P120:P125">N120/M120*100</f>
        <v>79.68402298850562</v>
      </c>
      <c r="Q120" s="60">
        <f>N120-8604.8</f>
        <v>-1672.2900000000045</v>
      </c>
      <c r="R120" s="138">
        <f>N120/8604.8</f>
        <v>0.8056561454072141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3587.72</v>
      </c>
      <c r="G122" s="49">
        <f t="shared" si="37"/>
        <v>-16722.01</v>
      </c>
      <c r="H122" s="40">
        <f t="shared" si="39"/>
        <v>17.66503050508303</v>
      </c>
      <c r="I122" s="60">
        <f t="shared" si="38"/>
        <v>-19489.41</v>
      </c>
      <c r="J122" s="60">
        <f>F122/D122*100</f>
        <v>15.546647265062855</v>
      </c>
      <c r="K122" s="60">
        <f>F122-23492</f>
        <v>-19904.28</v>
      </c>
      <c r="L122" s="138">
        <f>F122/23492</f>
        <v>0.1527209262727737</v>
      </c>
      <c r="M122" s="40">
        <f>E122-жовтень!E122</f>
        <v>2733.5</v>
      </c>
      <c r="N122" s="40">
        <f>F122-жовтень!F122</f>
        <v>825.6199999999999</v>
      </c>
      <c r="O122" s="53">
        <f t="shared" si="41"/>
        <v>-1907.88</v>
      </c>
      <c r="P122" s="60">
        <f t="shared" si="42"/>
        <v>30.203768062922986</v>
      </c>
      <c r="Q122" s="60">
        <f>N122-826.2</f>
        <v>-0.5800000000001546</v>
      </c>
      <c r="R122" s="138">
        <f>N122/826.2</f>
        <v>0.9992979908012586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81863.73</v>
      </c>
      <c r="G124" s="62">
        <f t="shared" si="37"/>
        <v>-12590.690000000002</v>
      </c>
      <c r="H124" s="72">
        <f t="shared" si="39"/>
        <v>86.67008912870355</v>
      </c>
      <c r="I124" s="61">
        <f t="shared" si="38"/>
        <v>-20206.59000000001</v>
      </c>
      <c r="J124" s="61">
        <f>F124/D124*100</f>
        <v>80.20326574855451</v>
      </c>
      <c r="K124" s="61">
        <f>F124-94046.5</f>
        <v>-12182.770000000004</v>
      </c>
      <c r="L124" s="139">
        <f>F124/94046.5</f>
        <v>0.8704601447156459</v>
      </c>
      <c r="M124" s="62">
        <f>M120+M121+M122+M123+M119</f>
        <v>11784.880000000008</v>
      </c>
      <c r="N124" s="62">
        <f>N120+N121+N122+N123+N119</f>
        <v>7918.539999999995</v>
      </c>
      <c r="O124" s="61">
        <f t="shared" si="41"/>
        <v>-3866.340000000013</v>
      </c>
      <c r="P124" s="61">
        <f t="shared" si="42"/>
        <v>67.19236852645075</v>
      </c>
      <c r="Q124" s="61">
        <f>N124-9944.1</f>
        <v>-2025.560000000005</v>
      </c>
      <c r="R124" s="139">
        <f>N124/9944.1</f>
        <v>0.7963053468891096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7398.27</v>
      </c>
      <c r="G128" s="49">
        <f aca="true" t="shared" si="43" ref="G128:G135">F128-E128</f>
        <v>-1300.7299999999996</v>
      </c>
      <c r="H128" s="40">
        <f>F128/E128*100</f>
        <v>85.0473617657202</v>
      </c>
      <c r="I128" s="60">
        <f aca="true" t="shared" si="44" ref="I128:I135">F128-D128</f>
        <v>-1301.7299999999996</v>
      </c>
      <c r="J128" s="60">
        <f>F128/D128*100</f>
        <v>85.03758620689655</v>
      </c>
      <c r="K128" s="60">
        <f>F128-10826.4</f>
        <v>-3428.129999999999</v>
      </c>
      <c r="L128" s="138">
        <f>F128/10826.4</f>
        <v>0.6833545776989581</v>
      </c>
      <c r="M128" s="40">
        <f>E128-вересень!E128</f>
        <v>1980.5</v>
      </c>
      <c r="N128" s="40">
        <f>F128-вересень!F128</f>
        <v>29.390000000000327</v>
      </c>
      <c r="O128" s="53">
        <f aca="true" t="shared" si="45" ref="O128:O135">N128-M128</f>
        <v>-1951.1099999999997</v>
      </c>
      <c r="P128" s="60">
        <f>N128/M128*100</f>
        <v>1.4839686947740636</v>
      </c>
      <c r="Q128" s="60">
        <f>N128-2097.7</f>
        <v>-2068.3099999999995</v>
      </c>
      <c r="R128" s="162">
        <f>N128/2097.7</f>
        <v>0.014010583019497702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7454.12</v>
      </c>
      <c r="G130" s="62">
        <f t="shared" si="43"/>
        <v>-1287.2400000000007</v>
      </c>
      <c r="H130" s="72">
        <f>F130/E130*100</f>
        <v>85.27414498430448</v>
      </c>
      <c r="I130" s="61">
        <f t="shared" si="44"/>
        <v>-1296.5800000000008</v>
      </c>
      <c r="J130" s="61">
        <f>F130/D130*100</f>
        <v>85.1831282068863</v>
      </c>
      <c r="K130" s="61">
        <f>F130-10959.2</f>
        <v>-3505.080000000001</v>
      </c>
      <c r="L130" s="139">
        <f>G130/10959.2</f>
        <v>-0.11745747864807655</v>
      </c>
      <c r="M130" s="62">
        <f>M125+M128+M129+M127</f>
        <v>1988.5</v>
      </c>
      <c r="N130" s="62">
        <f>N125+N128+N129+N127</f>
        <v>40.510000000000325</v>
      </c>
      <c r="O130" s="61">
        <f t="shared" si="45"/>
        <v>-1947.9899999999998</v>
      </c>
      <c r="P130" s="61">
        <f>N130/M130*100</f>
        <v>2.037213980387243</v>
      </c>
      <c r="Q130" s="61">
        <f>N130-2098.3</f>
        <v>-2057.79</v>
      </c>
      <c r="R130" s="137">
        <f>N130/2098.3</f>
        <v>0.019306104942096135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91027.40999999999</v>
      </c>
      <c r="G134" s="50">
        <f t="shared" si="43"/>
        <v>-15771.520000000004</v>
      </c>
      <c r="H134" s="51">
        <f>F134/E134*100</f>
        <v>85.23251122459747</v>
      </c>
      <c r="I134" s="36">
        <f t="shared" si="44"/>
        <v>-23763.21000000002</v>
      </c>
      <c r="J134" s="36">
        <f>F134/D134*100</f>
        <v>79.29864826934464</v>
      </c>
      <c r="K134" s="36">
        <f>F134-108511.5</f>
        <v>-17484.09000000001</v>
      </c>
      <c r="L134" s="136">
        <f>F134/108511.5</f>
        <v>0.8388733912995395</v>
      </c>
      <c r="M134" s="31">
        <f>M117+M131+M124+M130+M133+M132</f>
        <v>14123.580000000009</v>
      </c>
      <c r="N134" s="31">
        <f>N117+N131+N124+N130+N133+N132</f>
        <v>8054.989999999996</v>
      </c>
      <c r="O134" s="36">
        <f t="shared" si="45"/>
        <v>-6068.590000000013</v>
      </c>
      <c r="P134" s="36">
        <f>N134/M134*100</f>
        <v>57.03221137983423</v>
      </c>
      <c r="Q134" s="36">
        <f>N134-12149.2</f>
        <v>-4094.2100000000046</v>
      </c>
      <c r="R134" s="136">
        <f>N134/12149.2</f>
        <v>0.6630057946202216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509200.4</v>
      </c>
      <c r="G135" s="50">
        <f t="shared" si="43"/>
        <v>-44163.75999999989</v>
      </c>
      <c r="H135" s="51">
        <f>F135/E135*100</f>
        <v>92.01904221625053</v>
      </c>
      <c r="I135" s="36">
        <f t="shared" si="44"/>
        <v>-112469.81999999995</v>
      </c>
      <c r="J135" s="36">
        <f>F135/D135*100</f>
        <v>81.9084433544203</v>
      </c>
      <c r="K135" s="36">
        <f>F135-547461.7</f>
        <v>-38261.29999999993</v>
      </c>
      <c r="L135" s="136">
        <f>F135/547461.7</f>
        <v>0.9301114580252829</v>
      </c>
      <c r="M135" s="22">
        <f>M107+M134</f>
        <v>55961.47000000003</v>
      </c>
      <c r="N135" s="22">
        <f>N107+N134</f>
        <v>26657.74000000002</v>
      </c>
      <c r="O135" s="36">
        <f t="shared" si="45"/>
        <v>-29303.73000000001</v>
      </c>
      <c r="P135" s="36">
        <f>N135/M135*100</f>
        <v>47.635882331182515</v>
      </c>
      <c r="Q135" s="36">
        <f>N135-53205.8</f>
        <v>-26548.059999999983</v>
      </c>
      <c r="R135" s="136">
        <f>N135/53205.8</f>
        <v>0.5010307146965184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10</v>
      </c>
      <c r="D137" s="4" t="s">
        <v>118</v>
      </c>
    </row>
    <row r="138" spans="2:17" ht="31.5">
      <c r="B138" s="78" t="s">
        <v>154</v>
      </c>
      <c r="C138" s="39">
        <f>IF(O107&lt;0,ABS(O107/C137),0)</f>
        <v>2323.514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41957</v>
      </c>
      <c r="D139" s="39">
        <v>3810.9</v>
      </c>
      <c r="N139" s="194"/>
      <c r="O139" s="194"/>
    </row>
    <row r="140" spans="3:15" ht="15.75">
      <c r="C140" s="120">
        <v>41956</v>
      </c>
      <c r="D140" s="39">
        <v>1055.4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41955</v>
      </c>
      <c r="D141" s="39">
        <v>1030.6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121548.13593</v>
      </c>
      <c r="E143" s="80"/>
      <c r="F143" s="100" t="s">
        <v>147</v>
      </c>
      <c r="G143" s="190" t="s">
        <v>149</v>
      </c>
      <c r="H143" s="190"/>
      <c r="I143" s="116">
        <v>112527.53940000001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16994.82498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16994.82498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2014-11-14T11:25:38Z</cp:lastPrinted>
  <dcterms:created xsi:type="dcterms:W3CDTF">2003-07-28T11:27:56Z</dcterms:created>
  <dcterms:modified xsi:type="dcterms:W3CDTF">2014-11-17T08:25:40Z</dcterms:modified>
  <cp:category/>
  <cp:version/>
  <cp:contentType/>
  <cp:contentStatus/>
</cp:coreProperties>
</file>